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mar/Downloads/"/>
    </mc:Choice>
  </mc:AlternateContent>
  <xr:revisionPtr revIDLastSave="0" documentId="8_{89D43C02-9B50-DC42-A368-0108D38DDB03}" xr6:coauthVersionLast="43" xr6:coauthVersionMax="43" xr10:uidLastSave="{00000000-0000-0000-0000-000000000000}"/>
  <bookViews>
    <workbookView xWindow="34620" yWindow="-5360" windowWidth="34160" windowHeight="22280"/>
  </bookViews>
  <sheets>
    <sheet name="New Aircraft Design" sheetId="1" r:id="rId1"/>
  </sheets>
  <calcPr calcId="0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D30" i="1"/>
  <c r="E30" i="1"/>
  <c r="F30" i="1"/>
  <c r="F32" i="1"/>
  <c r="F33" i="1"/>
  <c r="F34" i="1"/>
  <c r="F35" i="1"/>
  <c r="F36" i="1"/>
  <c r="D38" i="1"/>
  <c r="E38" i="1"/>
  <c r="F38" i="1"/>
  <c r="F44" i="1"/>
  <c r="G44" i="1"/>
  <c r="H44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</calcChain>
</file>

<file path=xl/sharedStrings.xml><?xml version="1.0" encoding="utf-8"?>
<sst xmlns="http://schemas.openxmlformats.org/spreadsheetml/2006/main" count="122" uniqueCount="71">
  <si>
    <t>WEIGHT AND BALANCE</t>
  </si>
  <si>
    <t>--for--</t>
  </si>
  <si>
    <t>A NEW AIRCRAFT DESIGN</t>
  </si>
  <si>
    <t>EXAMPLE:</t>
  </si>
  <si>
    <t>TWO-SEAT FEW (Fighter Escort Wings) TF-51</t>
  </si>
  <si>
    <t>ITEM NO.</t>
  </si>
  <si>
    <t>DESCRIPTION</t>
  </si>
  <si>
    <t>X-LOCATION</t>
  </si>
  <si>
    <t>WEIGHT</t>
  </si>
  <si>
    <t xml:space="preserve">MOMENT </t>
  </si>
  <si>
    <t>SPINNER</t>
  </si>
  <si>
    <t>PROP</t>
  </si>
  <si>
    <t>GEAR REDUCTION</t>
  </si>
  <si>
    <t>ENGINE &amp; ACCESSORIES</t>
  </si>
  <si>
    <t>ENGINE MOUNT</t>
  </si>
  <si>
    <t>COWLING</t>
  </si>
  <si>
    <t>BATTERY</t>
  </si>
  <si>
    <t>FULL HEADER TANK</t>
  </si>
  <si>
    <t>INSTRUMENTS &amp; PANEL</t>
  </si>
  <si>
    <t>WINDSHIELD ASSY.</t>
  </si>
  <si>
    <t>UNDERCARRIAGE</t>
  </si>
  <si>
    <t>WING STRUCTURAL ASSY.</t>
  </si>
  <si>
    <t>CANOPY</t>
  </si>
  <si>
    <t>FUSELAGE STRUCTURE</t>
  </si>
  <si>
    <t>FULL RADIATOR</t>
  </si>
  <si>
    <t>COWL FLAP ACTUATOR</t>
  </si>
  <si>
    <t>TAIL WHEEL ASSY.</t>
  </si>
  <si>
    <t>H.STAB. &amp; ELEVATORS</t>
  </si>
  <si>
    <t>RUDDER</t>
  </si>
  <si>
    <t>AFT INSTR. PANEL</t>
  </si>
  <si>
    <t>Sub Totals:</t>
  </si>
  <si>
    <t>B.E.W.=Basic Empty Airplane</t>
  </si>
  <si>
    <t>PILOT,CHUTE</t>
  </si>
  <si>
    <t>FWD FUEL(30 GAL.)</t>
  </si>
  <si>
    <t>AFT FUEL (28 GAL.)</t>
  </si>
  <si>
    <t>BAGGAGE</t>
  </si>
  <si>
    <t>PASSENGER</t>
  </si>
  <si>
    <t>C. G. Limits</t>
  </si>
  <si>
    <t>Gross Wt.</t>
  </si>
  <si>
    <t>Fully Loaded Airplane</t>
  </si>
  <si>
    <t>Fwd</t>
  </si>
  <si>
    <t>Aft</t>
  </si>
  <si>
    <t>BASIC AIRCRAFT DATA</t>
  </si>
  <si>
    <t>* DATUM = SPINNER NOSE</t>
  </si>
  <si>
    <t>FWD LIMIT =</t>
  </si>
  <si>
    <t>0.12 MAC = STA. 82.3</t>
  </si>
  <si>
    <t>CBAR = 52</t>
  </si>
  <si>
    <t xml:space="preserve">AFT LIMIT = </t>
  </si>
  <si>
    <t>0.30 MAC = STA.</t>
  </si>
  <si>
    <t>L.E. AT 75</t>
  </si>
  <si>
    <t>Graphing Options</t>
  </si>
  <si>
    <t>Front Tank</t>
  </si>
  <si>
    <t>Aft Tank</t>
  </si>
  <si>
    <t>Total Weight</t>
  </si>
  <si>
    <t>Moment</t>
  </si>
  <si>
    <t>C. G. Station</t>
  </si>
  <si>
    <t>B.E.W.</t>
  </si>
  <si>
    <t>BASIC EMPTY AIRPLANE</t>
  </si>
  <si>
    <t>Series 1</t>
  </si>
  <si>
    <t>Pilot, no passenger</t>
  </si>
  <si>
    <t>Full</t>
  </si>
  <si>
    <t xml:space="preserve">   "      "       "</t>
  </si>
  <si>
    <t>3/4</t>
  </si>
  <si>
    <t>1/2</t>
  </si>
  <si>
    <t>1/4</t>
  </si>
  <si>
    <t>Empty</t>
  </si>
  <si>
    <t>Series 2</t>
  </si>
  <si>
    <t>Series 3</t>
  </si>
  <si>
    <t>Pilot, Passenger &amp; Baggage</t>
  </si>
  <si>
    <t xml:space="preserve">   "          "                 "</t>
  </si>
  <si>
    <t>Series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</si>
</sst>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_(* #,##0_);_(* \(#,##0\);_(* &quot;-&quot;??_);_(@_)"/>
    <numFmt numFmtId="171" formatCode="0.0"/>
  </numFmts>
  <fonts count="6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Britannic Bold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165" fontId="0" fillId="0" borderId="0" xfId="1" applyNumberFormat="1" applyFont="1" applyAlignment="1">
      <alignment horizontal="center"/>
    </xf>
    <xf numFmtId="2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 horizontal="right"/>
    </xf>
    <xf numFmtId="165" fontId="0" fillId="0" borderId="0" xfId="1" applyNumberFormat="1" applyFont="1" applyAlignment="1">
      <alignment horizontal="right"/>
    </xf>
    <xf numFmtId="1" fontId="0" fillId="0" borderId="9" xfId="0" applyNumberForma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WEIGHT &amp; BALANCE-TF-51</a:t>
            </a:r>
          </a:p>
        </c:rich>
      </c:tx>
      <c:layout>
        <c:manualLayout>
          <c:xMode val="edge"/>
          <c:yMode val="edge"/>
          <c:x val="0.29574129670695815"/>
          <c:y val="3.2728340524249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0853585729332"/>
          <c:y val="0.12727687981652455"/>
          <c:w val="0.60977586949888274"/>
          <c:h val="0.760024796618675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Aircraft Design'!$E$46:$E$50</c:f>
              <c:strCache>
                <c:ptCount val="5"/>
                <c:pt idx="0">
                  <c:v>Full</c:v>
                </c:pt>
                <c:pt idx="1">
                  <c:v>3/4</c:v>
                </c:pt>
                <c:pt idx="2">
                  <c:v>1/2</c:v>
                </c:pt>
                <c:pt idx="3">
                  <c:v>1/4</c:v>
                </c:pt>
                <c:pt idx="4">
                  <c:v>Empty</c:v>
                </c:pt>
              </c:strCache>
            </c:strRef>
          </c:cat>
          <c:val>
            <c:numRef>
              <c:f>'New Aircraft Design'!$H$46:$H$50</c:f>
              <c:numCache>
                <c:formatCode>0.00</c:formatCode>
                <c:ptCount val="5"/>
                <c:pt idx="0">
                  <c:v>86.853174603174608</c:v>
                </c:pt>
                <c:pt idx="1">
                  <c:v>86.488348530901717</c:v>
                </c:pt>
                <c:pt idx="2">
                  <c:v>86.107660455486538</c:v>
                </c:pt>
                <c:pt idx="3">
                  <c:v>85.710052910052909</c:v>
                </c:pt>
                <c:pt idx="4">
                  <c:v>85.294372294372295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A3-7D47-87AB-ED950D080D2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'New Aircraft Design'!$E$46:$E$50</c:f>
              <c:strCache>
                <c:ptCount val="5"/>
                <c:pt idx="0">
                  <c:v>Full</c:v>
                </c:pt>
                <c:pt idx="1">
                  <c:v>3/4</c:v>
                </c:pt>
                <c:pt idx="2">
                  <c:v>1/2</c:v>
                </c:pt>
                <c:pt idx="3">
                  <c:v>1/4</c:v>
                </c:pt>
                <c:pt idx="4">
                  <c:v>Empty</c:v>
                </c:pt>
              </c:strCache>
            </c:strRef>
          </c:cat>
          <c:val>
            <c:numRef>
              <c:f>'New Aircraft Design'!$H$52:$H$56</c:f>
              <c:numCache>
                <c:formatCode>0.00</c:formatCode>
                <c:ptCount val="5"/>
                <c:pt idx="0">
                  <c:v>86.642701525054463</c:v>
                </c:pt>
                <c:pt idx="1">
                  <c:v>86.236343366778144</c:v>
                </c:pt>
                <c:pt idx="2">
                  <c:v>85.810502283105023</c:v>
                </c:pt>
                <c:pt idx="3">
                  <c:v>85.363742690058473</c:v>
                </c:pt>
                <c:pt idx="4">
                  <c:v>84.894484412470021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A3-7D47-87AB-ED950D080D2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'New Aircraft Design'!$E$46:$E$50</c:f>
              <c:strCache>
                <c:ptCount val="5"/>
                <c:pt idx="0">
                  <c:v>Full</c:v>
                </c:pt>
                <c:pt idx="1">
                  <c:v>3/4</c:v>
                </c:pt>
                <c:pt idx="2">
                  <c:v>1/2</c:v>
                </c:pt>
                <c:pt idx="3">
                  <c:v>1/4</c:v>
                </c:pt>
                <c:pt idx="4">
                  <c:v>Empty</c:v>
                </c:pt>
              </c:strCache>
            </c:strRef>
          </c:cat>
          <c:val>
            <c:numRef>
              <c:f>'New Aircraft Design'!$H$58:$H$62</c:f>
              <c:numCache>
                <c:formatCode>0.00</c:formatCode>
                <c:ptCount val="5"/>
                <c:pt idx="0">
                  <c:v>90.825870646766163</c:v>
                </c:pt>
                <c:pt idx="1">
                  <c:v>90.570769940064551</c:v>
                </c:pt>
                <c:pt idx="2">
                  <c:v>90.305594734367659</c:v>
                </c:pt>
                <c:pt idx="3">
                  <c:v>90.029736211031178</c:v>
                </c:pt>
                <c:pt idx="4">
                  <c:v>89.742535487028874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A3-7D47-87AB-ED950D080D2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'New Aircraft Design'!$E$46:$E$50</c:f>
              <c:strCache>
                <c:ptCount val="5"/>
                <c:pt idx="0">
                  <c:v>Full</c:v>
                </c:pt>
                <c:pt idx="1">
                  <c:v>3/4</c:v>
                </c:pt>
                <c:pt idx="2">
                  <c:v>1/2</c:v>
                </c:pt>
                <c:pt idx="3">
                  <c:v>1/4</c:v>
                </c:pt>
                <c:pt idx="4">
                  <c:v>Empty</c:v>
                </c:pt>
              </c:strCache>
            </c:strRef>
          </c:cat>
          <c:val>
            <c:numRef>
              <c:f>'New Aircraft Design'!$H$64:$H$68</c:f>
              <c:numCache>
                <c:formatCode>0.00</c:formatCode>
                <c:ptCount val="5"/>
                <c:pt idx="0">
                  <c:v>90.987690792712954</c:v>
                </c:pt>
                <c:pt idx="1">
                  <c:v>90.712921065862247</c:v>
                </c:pt>
                <c:pt idx="2">
                  <c:v>90.426296866974837</c:v>
                </c:pt>
                <c:pt idx="3">
                  <c:v>90.127034120734905</c:v>
                </c:pt>
                <c:pt idx="4">
                  <c:v>89.814278046162102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A3-7D47-87AB-ED950D080D2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'New Aircraft Design'!$E$46:$E$50</c:f>
              <c:strCache>
                <c:ptCount val="5"/>
                <c:pt idx="0">
                  <c:v>Full</c:v>
                </c:pt>
                <c:pt idx="1">
                  <c:v>3/4</c:v>
                </c:pt>
                <c:pt idx="2">
                  <c:v>1/2</c:v>
                </c:pt>
                <c:pt idx="3">
                  <c:v>1/4</c:v>
                </c:pt>
                <c:pt idx="4">
                  <c:v>Empty</c:v>
                </c:pt>
              </c:strCache>
            </c:strRef>
          </c:cat>
          <c:val>
            <c:numRef>
              <c:f>'New Aircraft Design'!$J$40:$J$44</c:f>
              <c:numCache>
                <c:formatCode>General</c:formatCode>
                <c:ptCount val="5"/>
                <c:pt idx="0">
                  <c:v>82.3</c:v>
                </c:pt>
                <c:pt idx="1">
                  <c:v>82.3</c:v>
                </c:pt>
                <c:pt idx="2">
                  <c:v>82.3</c:v>
                </c:pt>
                <c:pt idx="3">
                  <c:v>82.3</c:v>
                </c:pt>
                <c:pt idx="4">
                  <c:v>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A3-7D47-87AB-ED950D080D2D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'New Aircraft Design'!$E$46:$E$50</c:f>
              <c:strCache>
                <c:ptCount val="5"/>
                <c:pt idx="0">
                  <c:v>Full</c:v>
                </c:pt>
                <c:pt idx="1">
                  <c:v>3/4</c:v>
                </c:pt>
                <c:pt idx="2">
                  <c:v>1/2</c:v>
                </c:pt>
                <c:pt idx="3">
                  <c:v>1/4</c:v>
                </c:pt>
                <c:pt idx="4">
                  <c:v>Empty</c:v>
                </c:pt>
              </c:strCache>
            </c:strRef>
          </c:cat>
          <c:val>
            <c:numRef>
              <c:f>'New Aircraft Design'!$K$40:$K$44</c:f>
              <c:numCache>
                <c:formatCode>General</c:formatCode>
                <c:ptCount val="5"/>
                <c:pt idx="0">
                  <c:v>90.6</c:v>
                </c:pt>
                <c:pt idx="1">
                  <c:v>90.6</c:v>
                </c:pt>
                <c:pt idx="2">
                  <c:v>90.6</c:v>
                </c:pt>
                <c:pt idx="3">
                  <c:v>90.6</c:v>
                </c:pt>
                <c:pt idx="4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A3-7D47-87AB-ED950D080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04687"/>
        <c:axId val="1"/>
      </c:lineChart>
      <c:catAx>
        <c:axId val="9100468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Aft Fuel</a:t>
                </a:r>
              </a:p>
            </c:rich>
          </c:tx>
          <c:layout>
            <c:manualLayout>
              <c:xMode val="edge"/>
              <c:yMode val="edge"/>
              <c:x val="0.3689144010468241"/>
              <c:y val="0.93457594608133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Station</a:t>
                </a:r>
              </a:p>
            </c:rich>
          </c:tx>
          <c:layout>
            <c:manualLayout>
              <c:xMode val="edge"/>
              <c:yMode val="edge"/>
              <c:x val="1.2195517389977656E-2"/>
              <c:y val="0.4545602850590162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004687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259" orientation="landscape" horizontalDpi="180" verticalDpi="180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21</xdr:row>
      <xdr:rowOff>152400</xdr:rowOff>
    </xdr:from>
    <xdr:to>
      <xdr:col>9</xdr:col>
      <xdr:colOff>419100</xdr:colOff>
      <xdr:row>23</xdr:row>
      <xdr:rowOff>139700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F80EE9FD-1EA7-F143-BFF7-765B906F120A}"/>
            </a:ext>
          </a:extLst>
        </xdr:cNvPr>
        <xdr:cNvSpPr>
          <a:spLocks noChangeShapeType="1"/>
        </xdr:cNvSpPr>
      </xdr:nvSpPr>
      <xdr:spPr bwMode="auto">
        <a:xfrm flipH="1" flipV="1">
          <a:off x="8953500" y="3759200"/>
          <a:ext cx="838200" cy="31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431800</xdr:colOff>
      <xdr:row>23</xdr:row>
      <xdr:rowOff>38100</xdr:rowOff>
    </xdr:from>
    <xdr:to>
      <xdr:col>10</xdr:col>
      <xdr:colOff>368300</xdr:colOff>
      <xdr:row>24</xdr:row>
      <xdr:rowOff>127000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22C0B339-0C0F-4A4F-86B8-4CB75526EF20}"/>
            </a:ext>
          </a:extLst>
        </xdr:cNvPr>
        <xdr:cNvSpPr txBox="1">
          <a:spLocks noChangeArrowheads="1"/>
        </xdr:cNvSpPr>
      </xdr:nvSpPr>
      <xdr:spPr bwMode="auto">
        <a:xfrm>
          <a:off x="9804400" y="3975100"/>
          <a:ext cx="6096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Series 2</a:t>
          </a:r>
        </a:p>
      </xdr:txBody>
    </xdr:sp>
    <xdr:clientData/>
  </xdr:twoCellAnchor>
  <xdr:twoCellAnchor>
    <xdr:from>
      <xdr:col>6</xdr:col>
      <xdr:colOff>101600</xdr:colOff>
      <xdr:row>11</xdr:row>
      <xdr:rowOff>12700</xdr:rowOff>
    </xdr:from>
    <xdr:to>
      <xdr:col>10</xdr:col>
      <xdr:colOff>457200</xdr:colOff>
      <xdr:row>32</xdr:row>
      <xdr:rowOff>38100</xdr:rowOff>
    </xdr:to>
    <xdr:graphicFrame macro="">
      <xdr:nvGraphicFramePr>
        <xdr:cNvPr id="1031" name="Chart 7">
          <a:extLst>
            <a:ext uri="{FF2B5EF4-FFF2-40B4-BE49-F238E27FC236}">
              <a16:creationId xmlns:a16="http://schemas.microsoft.com/office/drawing/2014/main" id="{474CBCFA-8CA3-2E45-B671-657A97626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50800</xdr:colOff>
      <xdr:row>21</xdr:row>
      <xdr:rowOff>76200</xdr:rowOff>
    </xdr:from>
    <xdr:to>
      <xdr:col>9</xdr:col>
      <xdr:colOff>469900</xdr:colOff>
      <xdr:row>21</xdr:row>
      <xdr:rowOff>76200</xdr:rowOff>
    </xdr:to>
    <xdr:sp macro="" textlink="">
      <xdr:nvSpPr>
        <xdr:cNvPr id="1033" name="Line 9">
          <a:extLst>
            <a:ext uri="{FF2B5EF4-FFF2-40B4-BE49-F238E27FC236}">
              <a16:creationId xmlns:a16="http://schemas.microsoft.com/office/drawing/2014/main" id="{7FF227A0-22A7-6C44-B817-75192F285755}"/>
            </a:ext>
          </a:extLst>
        </xdr:cNvPr>
        <xdr:cNvSpPr>
          <a:spLocks noChangeShapeType="1"/>
        </xdr:cNvSpPr>
      </xdr:nvSpPr>
      <xdr:spPr bwMode="auto">
        <a:xfrm flipH="1">
          <a:off x="9423400" y="368300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0.81734</cdr:x>
      <cdr:y>0.1383</cdr:y>
    </cdr:from>
    <cdr:to>
      <cdr:x>0.88735</cdr:x>
      <cdr:y>0.16718</cdr:y>
    </cdr:to>
    <cdr:sp macro="" textlink="">
      <cdr:nvSpPr>
        <cdr:cNvPr id="2061" name="Text 13">
          <a:extLst xmlns:a="http://schemas.openxmlformats.org/drawingml/2006/main">
            <a:ext uri="{FF2B5EF4-FFF2-40B4-BE49-F238E27FC236}">
              <a16:creationId xmlns:a16="http://schemas.microsoft.com/office/drawing/2014/main" id="{9D216965-0D4C-8B49-9BCF-01C4C47A32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5097" y="484759"/>
          <a:ext cx="292503" cy="101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Aft CG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Aft CG</a:t>
          </a:r>
        </a:p>
      </cdr:txBody>
    </cdr:sp>
  </cdr:relSizeAnchor>
  <cdr:relSizeAnchor xmlns:cdr="http://schemas.openxmlformats.org/drawingml/2006/chartDrawing">
    <cdr:from>
      <cdr:x>0.7366</cdr:x>
      <cdr:y>0.17544</cdr:y>
    </cdr:from>
    <cdr:to>
      <cdr:x>0.8271</cdr:x>
      <cdr:y>0.19947</cdr:y>
    </cdr:to>
    <cdr:sp macro="" textlink="">
      <cdr:nvSpPr>
        <cdr:cNvPr id="2062" name="Line 14">
          <a:extLst xmlns:a="http://schemas.openxmlformats.org/drawingml/2006/main">
            <a:ext uri="{FF2B5EF4-FFF2-40B4-BE49-F238E27FC236}">
              <a16:creationId xmlns:a16="http://schemas.microsoft.com/office/drawing/2014/main" id="{DDCE5A6C-3237-D842-AF34-2CB4DDA6D162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77750" y="614947"/>
          <a:ext cx="378114" cy="842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0.81734</cdr:x>
      <cdr:y>0.22302</cdr:y>
    </cdr:from>
    <cdr:to>
      <cdr:x>0.8993</cdr:x>
      <cdr:y>0.25191</cdr:y>
    </cdr:to>
    <cdr:sp macro="" textlink="">
      <cdr:nvSpPr>
        <cdr:cNvPr id="2063" name="Text 15">
          <a:extLst xmlns:a="http://schemas.openxmlformats.org/drawingml/2006/main">
            <a:ext uri="{FF2B5EF4-FFF2-40B4-BE49-F238E27FC236}">
              <a16:creationId xmlns:a16="http://schemas.microsoft.com/office/drawing/2014/main" id="{956F0650-87D5-8042-859D-A5E8F057BF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5097" y="781723"/>
          <a:ext cx="342442" cy="101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Series 4</a:t>
          </a:r>
        </a:p>
      </cdr:txBody>
    </cdr:sp>
  </cdr:relSizeAnchor>
  <cdr:relSizeAnchor xmlns:cdr="http://schemas.openxmlformats.org/drawingml/2006/chartDrawing">
    <cdr:from>
      <cdr:x>0.74026</cdr:x>
      <cdr:y>0.23661</cdr:y>
    </cdr:from>
    <cdr:to>
      <cdr:x>0.82051</cdr:x>
      <cdr:y>0.24657</cdr:y>
    </cdr:to>
    <cdr:sp macro="" textlink="">
      <cdr:nvSpPr>
        <cdr:cNvPr id="2064" name="Line 16">
          <a:extLst xmlns:a="http://schemas.openxmlformats.org/drawingml/2006/main">
            <a:ext uri="{FF2B5EF4-FFF2-40B4-BE49-F238E27FC236}">
              <a16:creationId xmlns:a16="http://schemas.microsoft.com/office/drawing/2014/main" id="{F3571682-F6F5-7B4F-9B04-8D8E437C4A4C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093037" y="829374"/>
          <a:ext cx="335309" cy="348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0.8049</cdr:x>
      <cdr:y>0.33954</cdr:y>
    </cdr:from>
    <cdr:to>
      <cdr:x>0.87491</cdr:x>
      <cdr:y>0.36139</cdr:y>
    </cdr:to>
    <cdr:sp macro="" textlink="">
      <cdr:nvSpPr>
        <cdr:cNvPr id="2065" name="Text 17">
          <a:extLst xmlns:a="http://schemas.openxmlformats.org/drawingml/2006/main">
            <a:ext uri="{FF2B5EF4-FFF2-40B4-BE49-F238E27FC236}">
              <a16:creationId xmlns:a16="http://schemas.microsoft.com/office/drawing/2014/main" id="{639B2E74-2AE2-B84D-868D-919ACEB71E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3119" y="1190155"/>
          <a:ext cx="292503" cy="76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Series 3</a:t>
          </a:r>
        </a:p>
      </cdr:txBody>
    </cdr:sp>
  </cdr:relSizeAnchor>
  <cdr:relSizeAnchor xmlns:cdr="http://schemas.openxmlformats.org/drawingml/2006/chartDrawing">
    <cdr:from>
      <cdr:x>0.72368</cdr:x>
      <cdr:y>0.26914</cdr:y>
    </cdr:from>
    <cdr:to>
      <cdr:x>0.801</cdr:x>
      <cdr:y>0.36309</cdr:y>
    </cdr:to>
    <cdr:sp macro="" textlink="">
      <cdr:nvSpPr>
        <cdr:cNvPr id="2066" name="Line 18">
          <a:extLst xmlns:a="http://schemas.openxmlformats.org/drawingml/2006/main">
            <a:ext uri="{FF2B5EF4-FFF2-40B4-BE49-F238E27FC236}">
              <a16:creationId xmlns:a16="http://schemas.microsoft.com/office/drawing/2014/main" id="{54613146-F0A7-E243-BDE6-4F1A060028F0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023733" y="943394"/>
          <a:ext cx="323079" cy="3292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0.8271</cdr:x>
      <cdr:y>0.44417</cdr:y>
    </cdr:from>
    <cdr:to>
      <cdr:x>0.89101</cdr:x>
      <cdr:y>0.47305</cdr:y>
    </cdr:to>
    <cdr:sp macro="" textlink="">
      <cdr:nvSpPr>
        <cdr:cNvPr id="2067" name="Text 19">
          <a:extLst xmlns:a="http://schemas.openxmlformats.org/drawingml/2006/main">
            <a:ext uri="{FF2B5EF4-FFF2-40B4-BE49-F238E27FC236}">
              <a16:creationId xmlns:a16="http://schemas.microsoft.com/office/drawing/2014/main" id="{378BAD7A-DD3D-6F42-A5EC-DA31D6B774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5864" y="1556893"/>
          <a:ext cx="267024" cy="101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Series 1</a:t>
          </a:r>
        </a:p>
      </cdr:txBody>
    </cdr:sp>
  </cdr:relSizeAnchor>
  <cdr:relSizeAnchor xmlns:cdr="http://schemas.openxmlformats.org/drawingml/2006/chartDrawing">
    <cdr:from>
      <cdr:x>0.74026</cdr:x>
      <cdr:y>0.44417</cdr:y>
    </cdr:from>
    <cdr:to>
      <cdr:x>0.8271</cdr:x>
      <cdr:y>0.47597</cdr:y>
    </cdr:to>
    <cdr:sp macro="" textlink="">
      <cdr:nvSpPr>
        <cdr:cNvPr id="2068" name="Line 20">
          <a:extLst xmlns:a="http://schemas.openxmlformats.org/drawingml/2006/main">
            <a:ext uri="{FF2B5EF4-FFF2-40B4-BE49-F238E27FC236}">
              <a16:creationId xmlns:a16="http://schemas.microsoft.com/office/drawing/2014/main" id="{CF2D6561-F291-8648-9D25-D19E0962860E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93037" y="1556893"/>
          <a:ext cx="362827" cy="1114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0.81734</cdr:x>
      <cdr:y>0.55608</cdr:y>
    </cdr:from>
    <cdr:to>
      <cdr:x>0.89344</cdr:x>
      <cdr:y>0.58496</cdr:y>
    </cdr:to>
    <cdr:sp macro="" textlink="">
      <cdr:nvSpPr>
        <cdr:cNvPr id="2069" name="Text 21">
          <a:extLst xmlns:a="http://schemas.openxmlformats.org/drawingml/2006/main">
            <a:ext uri="{FF2B5EF4-FFF2-40B4-BE49-F238E27FC236}">
              <a16:creationId xmlns:a16="http://schemas.microsoft.com/office/drawing/2014/main" id="{C0326908-51CE-8346-9920-A02A913DE7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5097" y="1949158"/>
          <a:ext cx="317982" cy="101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Series 2</a:t>
          </a:r>
        </a:p>
      </cdr:txBody>
    </cdr:sp>
  </cdr:relSizeAnchor>
  <cdr:relSizeAnchor xmlns:cdr="http://schemas.openxmlformats.org/drawingml/2006/chartDrawing">
    <cdr:from>
      <cdr:x>0.74026</cdr:x>
      <cdr:y>0.51384</cdr:y>
    </cdr:from>
    <cdr:to>
      <cdr:x>0.811</cdr:x>
      <cdr:y>0.57962</cdr:y>
    </cdr:to>
    <cdr:sp macro="" textlink="">
      <cdr:nvSpPr>
        <cdr:cNvPr id="2070" name="Line 22">
          <a:extLst xmlns:a="http://schemas.openxmlformats.org/drawingml/2006/main">
            <a:ext uri="{FF2B5EF4-FFF2-40B4-BE49-F238E27FC236}">
              <a16:creationId xmlns:a16="http://schemas.microsoft.com/office/drawing/2014/main" id="{359E4B38-512F-DE4F-B59F-3A5D6B846CE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093037" y="1801101"/>
          <a:ext cx="295561" cy="2305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0.8049</cdr:x>
      <cdr:y>0.69614</cdr:y>
    </cdr:from>
    <cdr:to>
      <cdr:x>0.87491</cdr:x>
      <cdr:y>0.72503</cdr:y>
    </cdr:to>
    <cdr:sp macro="" textlink="">
      <cdr:nvSpPr>
        <cdr:cNvPr id="2071" name="Text 23">
          <a:extLst xmlns:a="http://schemas.openxmlformats.org/drawingml/2006/main">
            <a:ext uri="{FF2B5EF4-FFF2-40B4-BE49-F238E27FC236}">
              <a16:creationId xmlns:a16="http://schemas.microsoft.com/office/drawing/2014/main" id="{C6611BC8-4CAC-5A44-BAE1-DBFB802487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3119" y="2440127"/>
          <a:ext cx="292503" cy="101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Fwd CG</a:t>
          </a:r>
        </a:p>
      </cdr:txBody>
    </cdr:sp>
  </cdr:relSizeAnchor>
  <cdr:relSizeAnchor xmlns:cdr="http://schemas.openxmlformats.org/drawingml/2006/chartDrawing">
    <cdr:from>
      <cdr:x>0.7466</cdr:x>
      <cdr:y>0.66434</cdr:y>
    </cdr:from>
    <cdr:to>
      <cdr:x>0.801</cdr:x>
      <cdr:y>0.72042</cdr:y>
    </cdr:to>
    <cdr:sp macro="" textlink="">
      <cdr:nvSpPr>
        <cdr:cNvPr id="2072" name="Line 24">
          <a:extLst xmlns:a="http://schemas.openxmlformats.org/drawingml/2006/main">
            <a:ext uri="{FF2B5EF4-FFF2-40B4-BE49-F238E27FC236}">
              <a16:creationId xmlns:a16="http://schemas.microsoft.com/office/drawing/2014/main" id="{8B863673-F6F3-A648-B9CB-86565E144560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119536" y="2328659"/>
          <a:ext cx="227276" cy="1965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8"/>
  <sheetViews>
    <sheetView tabSelected="1" zoomScaleNormal="100" workbookViewId="0">
      <selection activeCell="P50" sqref="P50"/>
    </sheetView>
  </sheetViews>
  <sheetFormatPr baseColWidth="10" defaultRowHeight="13" x14ac:dyDescent="0.15"/>
  <cols>
    <col min="1" max="1" width="8.83203125" customWidth="1"/>
    <col min="2" max="2" width="10.1640625" customWidth="1"/>
    <col min="3" max="3" width="24.33203125" customWidth="1"/>
    <col min="4" max="4" width="12.83203125" customWidth="1"/>
    <col min="5" max="5" width="10.33203125" customWidth="1"/>
    <col min="6" max="6" width="15.33203125" customWidth="1"/>
    <col min="7" max="7" width="16.83203125" customWidth="1"/>
    <col min="8" max="8" width="15.5" customWidth="1"/>
    <col min="9" max="256" width="8.83203125" customWidth="1"/>
  </cols>
  <sheetData>
    <row r="1" spans="2:6" ht="15" x14ac:dyDescent="0.15">
      <c r="C1" s="5" t="s">
        <v>0</v>
      </c>
    </row>
    <row r="2" spans="2:6" ht="16" x14ac:dyDescent="0.2">
      <c r="B2" s="6"/>
      <c r="C2" s="8" t="s">
        <v>1</v>
      </c>
    </row>
    <row r="3" spans="2:6" ht="16" x14ac:dyDescent="0.2">
      <c r="C3" s="7" t="s">
        <v>2</v>
      </c>
    </row>
    <row r="4" spans="2:6" ht="16" x14ac:dyDescent="0.2">
      <c r="C4" s="7"/>
    </row>
    <row r="5" spans="2:6" x14ac:dyDescent="0.15">
      <c r="B5" s="2" t="s">
        <v>3</v>
      </c>
      <c r="C5" s="2" t="s">
        <v>4</v>
      </c>
      <c r="E5" s="1"/>
      <c r="F5" s="1"/>
    </row>
    <row r="6" spans="2:6" x14ac:dyDescent="0.15">
      <c r="E6" s="1"/>
      <c r="F6" s="1"/>
    </row>
    <row r="7" spans="2:6" x14ac:dyDescent="0.15">
      <c r="B7" t="s">
        <v>5</v>
      </c>
      <c r="C7" s="1" t="s">
        <v>6</v>
      </c>
      <c r="D7" s="1" t="s">
        <v>7</v>
      </c>
      <c r="E7" s="1" t="s">
        <v>8</v>
      </c>
      <c r="F7" s="1" t="s">
        <v>9</v>
      </c>
    </row>
    <row r="8" spans="2:6" x14ac:dyDescent="0.15">
      <c r="E8" s="1"/>
      <c r="F8" s="1"/>
    </row>
    <row r="9" spans="2:6" x14ac:dyDescent="0.15">
      <c r="B9" s="1">
        <v>1</v>
      </c>
      <c r="C9" t="s">
        <v>10</v>
      </c>
      <c r="D9" s="1">
        <v>12</v>
      </c>
      <c r="E9" s="1">
        <v>6</v>
      </c>
      <c r="F9" s="9">
        <f>PRODUCT(D9,E9)</f>
        <v>72</v>
      </c>
    </row>
    <row r="10" spans="2:6" x14ac:dyDescent="0.15">
      <c r="B10" s="1">
        <v>2</v>
      </c>
      <c r="C10" t="s">
        <v>11</v>
      </c>
      <c r="D10" s="1">
        <v>12</v>
      </c>
      <c r="E10" s="1">
        <v>83</v>
      </c>
      <c r="F10" s="9">
        <f t="shared" ref="F10:F25" si="0">PRODUCT(D10,E10)</f>
        <v>996</v>
      </c>
    </row>
    <row r="11" spans="2:6" x14ac:dyDescent="0.15">
      <c r="B11" s="1">
        <v>3</v>
      </c>
      <c r="C11" t="s">
        <v>12</v>
      </c>
      <c r="D11" s="1">
        <v>27</v>
      </c>
      <c r="E11" s="1">
        <v>106</v>
      </c>
      <c r="F11" s="9">
        <f t="shared" si="0"/>
        <v>2862</v>
      </c>
    </row>
    <row r="12" spans="2:6" x14ac:dyDescent="0.15">
      <c r="B12" s="1">
        <v>4</v>
      </c>
      <c r="C12" t="s">
        <v>13</v>
      </c>
      <c r="D12" s="1">
        <v>44</v>
      </c>
      <c r="E12" s="1">
        <v>425</v>
      </c>
      <c r="F12" s="9">
        <f t="shared" si="0"/>
        <v>18700</v>
      </c>
    </row>
    <row r="13" spans="2:6" x14ac:dyDescent="0.15">
      <c r="B13" s="1">
        <v>5</v>
      </c>
      <c r="C13" t="s">
        <v>14</v>
      </c>
      <c r="D13" s="1">
        <v>50</v>
      </c>
      <c r="E13" s="1">
        <v>20</v>
      </c>
      <c r="F13" s="9">
        <f t="shared" si="0"/>
        <v>1000</v>
      </c>
    </row>
    <row r="14" spans="2:6" x14ac:dyDescent="0.15">
      <c r="B14" s="1">
        <v>6</v>
      </c>
      <c r="C14" t="s">
        <v>15</v>
      </c>
      <c r="D14" s="1">
        <v>50</v>
      </c>
      <c r="E14" s="1">
        <v>20</v>
      </c>
      <c r="F14" s="9">
        <f t="shared" si="0"/>
        <v>1000</v>
      </c>
    </row>
    <row r="15" spans="2:6" x14ac:dyDescent="0.15">
      <c r="B15" s="1">
        <v>7</v>
      </c>
      <c r="C15" t="s">
        <v>16</v>
      </c>
      <c r="D15" s="1">
        <v>61</v>
      </c>
      <c r="E15" s="1">
        <v>24</v>
      </c>
      <c r="F15" s="9">
        <f t="shared" si="0"/>
        <v>1464</v>
      </c>
    </row>
    <row r="16" spans="2:6" x14ac:dyDescent="0.15">
      <c r="B16" s="1">
        <v>8</v>
      </c>
      <c r="C16" t="s">
        <v>17</v>
      </c>
      <c r="D16" s="1">
        <v>65</v>
      </c>
      <c r="E16" s="1">
        <v>15</v>
      </c>
      <c r="F16" s="9">
        <f t="shared" si="0"/>
        <v>975</v>
      </c>
    </row>
    <row r="17" spans="2:10" x14ac:dyDescent="0.15">
      <c r="B17" s="1">
        <v>9</v>
      </c>
      <c r="C17" t="s">
        <v>18</v>
      </c>
      <c r="D17" s="1">
        <v>84</v>
      </c>
      <c r="E17" s="1">
        <v>40</v>
      </c>
      <c r="F17" s="9">
        <f t="shared" si="0"/>
        <v>3360</v>
      </c>
    </row>
    <row r="18" spans="2:10" x14ac:dyDescent="0.15">
      <c r="B18" s="1">
        <v>10</v>
      </c>
      <c r="C18" t="s">
        <v>19</v>
      </c>
      <c r="D18" s="1">
        <v>91</v>
      </c>
      <c r="E18" s="1">
        <v>10</v>
      </c>
      <c r="F18" s="9">
        <f t="shared" si="0"/>
        <v>910</v>
      </c>
    </row>
    <row r="19" spans="2:10" x14ac:dyDescent="0.15">
      <c r="B19" s="1">
        <v>11</v>
      </c>
      <c r="C19" t="s">
        <v>20</v>
      </c>
      <c r="D19" s="1">
        <v>85</v>
      </c>
      <c r="E19" s="1">
        <v>100</v>
      </c>
      <c r="F19" s="9">
        <f t="shared" si="0"/>
        <v>8500</v>
      </c>
    </row>
    <row r="20" spans="2:10" x14ac:dyDescent="0.15">
      <c r="B20" s="1">
        <v>12</v>
      </c>
      <c r="C20" t="s">
        <v>21</v>
      </c>
      <c r="D20" s="1">
        <v>95</v>
      </c>
      <c r="E20" s="1">
        <v>275</v>
      </c>
      <c r="F20" s="9">
        <f t="shared" si="0"/>
        <v>26125</v>
      </c>
    </row>
    <row r="21" spans="2:10" x14ac:dyDescent="0.15">
      <c r="B21" s="1">
        <v>13</v>
      </c>
      <c r="C21" t="s">
        <v>22</v>
      </c>
      <c r="D21" s="1">
        <v>124</v>
      </c>
      <c r="E21" s="1">
        <v>15</v>
      </c>
      <c r="F21" s="9">
        <f t="shared" si="0"/>
        <v>1860</v>
      </c>
    </row>
    <row r="22" spans="2:10" x14ac:dyDescent="0.15">
      <c r="B22" s="1">
        <v>14</v>
      </c>
      <c r="C22" t="s">
        <v>23</v>
      </c>
      <c r="D22" s="1">
        <v>139</v>
      </c>
      <c r="E22" s="1">
        <v>150</v>
      </c>
      <c r="F22" s="9">
        <f t="shared" si="0"/>
        <v>20850</v>
      </c>
    </row>
    <row r="23" spans="2:10" x14ac:dyDescent="0.15">
      <c r="B23" s="1">
        <v>14</v>
      </c>
      <c r="C23" t="s">
        <v>24</v>
      </c>
      <c r="D23" s="1">
        <v>150</v>
      </c>
      <c r="E23" s="1">
        <v>28</v>
      </c>
      <c r="F23" s="9">
        <f t="shared" si="0"/>
        <v>4200</v>
      </c>
    </row>
    <row r="24" spans="2:10" x14ac:dyDescent="0.15">
      <c r="B24" s="1">
        <v>16</v>
      </c>
      <c r="C24" t="s">
        <v>25</v>
      </c>
      <c r="D24" s="1">
        <v>165</v>
      </c>
      <c r="E24" s="1">
        <v>4</v>
      </c>
      <c r="F24" s="9">
        <f t="shared" si="0"/>
        <v>660</v>
      </c>
    </row>
    <row r="25" spans="2:10" x14ac:dyDescent="0.15">
      <c r="B25" s="1">
        <v>17</v>
      </c>
      <c r="C25" t="s">
        <v>26</v>
      </c>
      <c r="D25" s="1">
        <v>214</v>
      </c>
      <c r="E25" s="1">
        <v>22</v>
      </c>
      <c r="F25" s="9">
        <f t="shared" si="0"/>
        <v>4708</v>
      </c>
    </row>
    <row r="26" spans="2:10" x14ac:dyDescent="0.15">
      <c r="B26" s="1">
        <v>18</v>
      </c>
      <c r="C26" t="s">
        <v>27</v>
      </c>
      <c r="D26" s="1">
        <v>228</v>
      </c>
      <c r="E26" s="1">
        <v>44</v>
      </c>
      <c r="F26" s="9">
        <f t="shared" ref="F26:F28" si="1">PRODUCT(D26,E26)</f>
        <v>10032</v>
      </c>
    </row>
    <row r="27" spans="2:10" x14ac:dyDescent="0.15">
      <c r="B27" s="1">
        <v>19</v>
      </c>
      <c r="C27" t="s">
        <v>28</v>
      </c>
      <c r="D27" s="1">
        <v>250</v>
      </c>
      <c r="E27" s="1">
        <v>16</v>
      </c>
      <c r="F27" s="9">
        <f t="shared" si="1"/>
        <v>4000</v>
      </c>
    </row>
    <row r="28" spans="2:10" x14ac:dyDescent="0.15">
      <c r="B28" s="1">
        <v>20</v>
      </c>
      <c r="C28" t="s">
        <v>29</v>
      </c>
      <c r="D28" s="1">
        <v>122</v>
      </c>
      <c r="E28" s="1">
        <v>15</v>
      </c>
      <c r="F28" s="9">
        <f t="shared" si="1"/>
        <v>1830</v>
      </c>
      <c r="G28" s="2"/>
      <c r="H28" s="3"/>
    </row>
    <row r="29" spans="2:10" x14ac:dyDescent="0.15">
      <c r="B29" s="1"/>
      <c r="D29" s="30"/>
      <c r="E29" s="26"/>
      <c r="F29" s="31"/>
      <c r="H29" s="1"/>
    </row>
    <row r="30" spans="2:10" x14ac:dyDescent="0.15">
      <c r="B30" t="s">
        <v>30</v>
      </c>
      <c r="C30" t="s">
        <v>31</v>
      </c>
      <c r="D30" s="28">
        <f>F30/E30</f>
        <v>80.468265162200282</v>
      </c>
      <c r="E30" s="29">
        <f t="shared" ref="E30:F30" si="2">SUM(E1:E29)</f>
        <v>1418</v>
      </c>
      <c r="F30" s="9">
        <f t="shared" si="2"/>
        <v>114104</v>
      </c>
      <c r="G30" s="1"/>
      <c r="H30" s="1"/>
      <c r="I30" s="3"/>
      <c r="J30" s="2"/>
    </row>
    <row r="31" spans="2:10" x14ac:dyDescent="0.15">
      <c r="B31" s="1"/>
      <c r="D31" s="1"/>
      <c r="E31" s="1"/>
      <c r="F31" s="9"/>
      <c r="G31" s="1"/>
      <c r="H31" s="1"/>
    </row>
    <row r="32" spans="2:10" x14ac:dyDescent="0.15">
      <c r="B32" s="1">
        <v>21</v>
      </c>
      <c r="C32" t="s">
        <v>32</v>
      </c>
      <c r="D32" s="1">
        <v>110</v>
      </c>
      <c r="E32" s="1">
        <v>250</v>
      </c>
      <c r="F32" s="9">
        <f t="shared" ref="F32:F35" si="3">PRODUCT(D32,E32)</f>
        <v>27500</v>
      </c>
      <c r="G32" s="1"/>
      <c r="H32" s="1"/>
    </row>
    <row r="33" spans="2:11" x14ac:dyDescent="0.15">
      <c r="B33" s="1">
        <v>22</v>
      </c>
      <c r="C33" t="s">
        <v>33</v>
      </c>
      <c r="D33" s="1">
        <v>89</v>
      </c>
      <c r="E33" s="1">
        <v>180</v>
      </c>
      <c r="F33" s="9">
        <f t="shared" si="3"/>
        <v>16020</v>
      </c>
      <c r="G33" s="1"/>
      <c r="H33" s="1"/>
    </row>
    <row r="34" spans="2:11" x14ac:dyDescent="0.15">
      <c r="B34" s="1">
        <v>23</v>
      </c>
      <c r="C34" t="s">
        <v>34</v>
      </c>
      <c r="D34" s="1">
        <v>104</v>
      </c>
      <c r="E34" s="1">
        <v>168</v>
      </c>
      <c r="F34" s="9">
        <f t="shared" si="3"/>
        <v>17472</v>
      </c>
      <c r="G34" s="1"/>
      <c r="H34" s="1"/>
    </row>
    <row r="35" spans="2:11" x14ac:dyDescent="0.15">
      <c r="B35" s="1">
        <v>24</v>
      </c>
      <c r="C35" t="s">
        <v>35</v>
      </c>
      <c r="D35" s="1">
        <v>104</v>
      </c>
      <c r="E35" s="1">
        <v>25</v>
      </c>
      <c r="F35" s="9">
        <f t="shared" si="3"/>
        <v>2600</v>
      </c>
      <c r="G35" s="1"/>
      <c r="H35" s="1"/>
    </row>
    <row r="36" spans="2:11" x14ac:dyDescent="0.15">
      <c r="B36" s="1">
        <v>25</v>
      </c>
      <c r="C36" t="s">
        <v>36</v>
      </c>
      <c r="D36" s="1">
        <v>136</v>
      </c>
      <c r="E36" s="1">
        <v>170</v>
      </c>
      <c r="F36" s="9">
        <f>PRODUCT(D36,E36)</f>
        <v>23120</v>
      </c>
      <c r="G36" s="1"/>
      <c r="H36" s="1"/>
    </row>
    <row r="37" spans="2:11" x14ac:dyDescent="0.15">
      <c r="J37" s="12" t="s">
        <v>37</v>
      </c>
      <c r="K37" s="12"/>
    </row>
    <row r="38" spans="2:11" ht="14" thickBot="1" x14ac:dyDescent="0.2">
      <c r="B38" s="1" t="s">
        <v>38</v>
      </c>
      <c r="C38" t="s">
        <v>39</v>
      </c>
      <c r="D38" s="27">
        <f>F38/E38</f>
        <v>90.825870646766163</v>
      </c>
      <c r="E38" s="9">
        <f t="shared" ref="E38:F38" si="4">SUM(E30:E36)</f>
        <v>2211</v>
      </c>
      <c r="F38" s="9">
        <f t="shared" si="4"/>
        <v>200816</v>
      </c>
      <c r="J38" s="26" t="s">
        <v>40</v>
      </c>
      <c r="K38" s="26" t="s">
        <v>41</v>
      </c>
    </row>
    <row r="39" spans="2:11" x14ac:dyDescent="0.15">
      <c r="B39" s="15" t="s">
        <v>42</v>
      </c>
      <c r="C39" s="16"/>
      <c r="D39" s="17"/>
      <c r="E39" s="18"/>
      <c r="F39" s="18"/>
      <c r="G39" s="18"/>
      <c r="H39" s="19"/>
    </row>
    <row r="40" spans="2:11" x14ac:dyDescent="0.15">
      <c r="B40" s="20"/>
      <c r="C40" s="13" t="s">
        <v>43</v>
      </c>
      <c r="D40" s="13"/>
      <c r="E40" s="13" t="s">
        <v>44</v>
      </c>
      <c r="F40" s="13" t="s">
        <v>45</v>
      </c>
      <c r="G40" s="14"/>
      <c r="H40" s="21" t="s">
        <v>46</v>
      </c>
      <c r="J40">
        <v>82.3</v>
      </c>
      <c r="K40">
        <v>90.6</v>
      </c>
    </row>
    <row r="41" spans="2:11" ht="14" thickBot="1" x14ac:dyDescent="0.2">
      <c r="B41" s="22"/>
      <c r="C41" s="23"/>
      <c r="D41" s="23"/>
      <c r="E41" s="23" t="s">
        <v>47</v>
      </c>
      <c r="F41" s="23" t="s">
        <v>48</v>
      </c>
      <c r="G41" s="24">
        <v>90.6</v>
      </c>
      <c r="H41" s="25" t="s">
        <v>49</v>
      </c>
      <c r="J41">
        <v>82.3</v>
      </c>
      <c r="K41">
        <v>90.6</v>
      </c>
    </row>
    <row r="42" spans="2:11" x14ac:dyDescent="0.15">
      <c r="B42" s="1"/>
      <c r="J42">
        <v>82.3</v>
      </c>
      <c r="K42">
        <v>90.6</v>
      </c>
    </row>
    <row r="43" spans="2:11" x14ac:dyDescent="0.15">
      <c r="B43" s="1"/>
      <c r="C43" s="3" t="s">
        <v>50</v>
      </c>
      <c r="D43" s="1" t="s">
        <v>51</v>
      </c>
      <c r="E43" s="1" t="s">
        <v>52</v>
      </c>
      <c r="F43" s="1" t="s">
        <v>53</v>
      </c>
      <c r="G43" s="1" t="s">
        <v>54</v>
      </c>
      <c r="H43" s="1" t="s">
        <v>55</v>
      </c>
      <c r="J43">
        <v>82.3</v>
      </c>
      <c r="K43">
        <v>90.6</v>
      </c>
    </row>
    <row r="44" spans="2:11" x14ac:dyDescent="0.15">
      <c r="B44" s="1" t="s">
        <v>56</v>
      </c>
      <c r="C44" t="s">
        <v>57</v>
      </c>
      <c r="D44" s="1"/>
      <c r="F44" s="9">
        <f t="shared" ref="F44:G44" si="5">SUM(E9:E29)</f>
        <v>1418</v>
      </c>
      <c r="G44" s="9">
        <f t="shared" si="5"/>
        <v>114104</v>
      </c>
      <c r="H44" s="10">
        <f>G44/F44</f>
        <v>80.468265162200282</v>
      </c>
      <c r="J44">
        <v>82.3</v>
      </c>
      <c r="K44">
        <v>90.6</v>
      </c>
    </row>
    <row r="45" spans="2:11" x14ac:dyDescent="0.15">
      <c r="B45" s="1"/>
      <c r="D45" s="1"/>
      <c r="F45" s="9"/>
      <c r="G45" s="9"/>
      <c r="H45" s="10"/>
    </row>
    <row r="46" spans="2:11" x14ac:dyDescent="0.15">
      <c r="B46" s="1" t="s">
        <v>58</v>
      </c>
      <c r="C46" t="s">
        <v>59</v>
      </c>
      <c r="D46" s="1" t="s">
        <v>60</v>
      </c>
      <c r="E46" s="1" t="s">
        <v>60</v>
      </c>
      <c r="F46" s="9">
        <f>$F$44+$E$32+$E$33+$E$34</f>
        <v>2016</v>
      </c>
      <c r="G46" s="9">
        <f>$G$44+$F$32+$F$33+$F$34</f>
        <v>175096</v>
      </c>
      <c r="H46" s="10">
        <f t="shared" ref="H46:H61" si="6">G46/F46</f>
        <v>86.853174603174608</v>
      </c>
    </row>
    <row r="47" spans="2:11" x14ac:dyDescent="0.15">
      <c r="B47" s="1"/>
      <c r="C47" t="s">
        <v>61</v>
      </c>
      <c r="D47" s="1" t="s">
        <v>60</v>
      </c>
      <c r="E47" s="11" t="s">
        <v>62</v>
      </c>
      <c r="F47" s="9">
        <f>$F$44+$E$32+$E$33+$E$34*0.75</f>
        <v>1974</v>
      </c>
      <c r="G47" s="9">
        <f>$G$44+$F$32+$F$33+$F$34*0.75</f>
        <v>170728</v>
      </c>
      <c r="H47" s="10">
        <f t="shared" si="6"/>
        <v>86.488348530901717</v>
      </c>
    </row>
    <row r="48" spans="2:11" x14ac:dyDescent="0.15">
      <c r="B48" s="1"/>
      <c r="C48" t="s">
        <v>61</v>
      </c>
      <c r="D48" s="1" t="s">
        <v>60</v>
      </c>
      <c r="E48" s="11" t="s">
        <v>63</v>
      </c>
      <c r="F48" s="9">
        <f>$F$44+$E$32+$E$33+$E$34*0.5</f>
        <v>1932</v>
      </c>
      <c r="G48" s="9">
        <f>$G$44+$F$32+$F$33+$F$34*0.5</f>
        <v>166360</v>
      </c>
      <c r="H48" s="10">
        <f t="shared" si="6"/>
        <v>86.107660455486538</v>
      </c>
    </row>
    <row r="49" spans="2:8" x14ac:dyDescent="0.15">
      <c r="B49" s="1"/>
      <c r="C49" t="s">
        <v>61</v>
      </c>
      <c r="D49" s="1" t="s">
        <v>60</v>
      </c>
      <c r="E49" s="11" t="s">
        <v>64</v>
      </c>
      <c r="F49" s="9">
        <f>$F$44+$E$32+$E$33+$E$34*0.25</f>
        <v>1890</v>
      </c>
      <c r="G49" s="9">
        <f>$G$44+$F$32+$F$33+$F$34*0.25</f>
        <v>161992</v>
      </c>
      <c r="H49" s="10">
        <f t="shared" si="6"/>
        <v>85.710052910052909</v>
      </c>
    </row>
    <row r="50" spans="2:8" x14ac:dyDescent="0.15">
      <c r="B50" s="1"/>
      <c r="C50" t="s">
        <v>61</v>
      </c>
      <c r="D50" s="1" t="s">
        <v>60</v>
      </c>
      <c r="E50" s="1" t="s">
        <v>65</v>
      </c>
      <c r="F50" s="9">
        <f>$F$44+$E$32+$E$33</f>
        <v>1848</v>
      </c>
      <c r="G50" s="9">
        <f>$G$44+$F$32+$F$33</f>
        <v>157624</v>
      </c>
      <c r="H50" s="10">
        <f>G50/F50</f>
        <v>85.294372294372295</v>
      </c>
    </row>
    <row r="51" spans="2:8" x14ac:dyDescent="0.15">
      <c r="B51" s="1"/>
      <c r="D51" s="1"/>
      <c r="E51" s="1"/>
      <c r="F51" s="9"/>
      <c r="G51" s="9"/>
      <c r="H51" s="10"/>
    </row>
    <row r="52" spans="2:8" x14ac:dyDescent="0.15">
      <c r="B52" s="1" t="s">
        <v>66</v>
      </c>
      <c r="C52" t="s">
        <v>59</v>
      </c>
      <c r="D52" s="1" t="s">
        <v>65</v>
      </c>
      <c r="E52" s="1" t="s">
        <v>60</v>
      </c>
      <c r="F52" s="9">
        <f>$F$44+$E$32+$E$34</f>
        <v>1836</v>
      </c>
      <c r="G52" s="9">
        <f>$G$44+$F$32+$F$34</f>
        <v>159076</v>
      </c>
      <c r="H52" s="10">
        <f t="shared" si="6"/>
        <v>86.642701525054463</v>
      </c>
    </row>
    <row r="53" spans="2:8" x14ac:dyDescent="0.15">
      <c r="B53" s="1"/>
      <c r="C53" t="s">
        <v>61</v>
      </c>
      <c r="D53" s="1" t="s">
        <v>65</v>
      </c>
      <c r="E53" s="11" t="s">
        <v>62</v>
      </c>
      <c r="F53" s="9">
        <f>$F$44+$E$32+$E$34*0.75</f>
        <v>1794</v>
      </c>
      <c r="G53" s="9">
        <f>$G$44+$F$32+$F$34*0.75</f>
        <v>154708</v>
      </c>
      <c r="H53" s="10">
        <f t="shared" si="6"/>
        <v>86.236343366778144</v>
      </c>
    </row>
    <row r="54" spans="2:8" x14ac:dyDescent="0.15">
      <c r="B54" s="1"/>
      <c r="C54" t="s">
        <v>61</v>
      </c>
      <c r="D54" s="1" t="s">
        <v>65</v>
      </c>
      <c r="E54" s="11" t="s">
        <v>63</v>
      </c>
      <c r="F54" s="9">
        <f>$F$44+$E$32+$E$34*0.5</f>
        <v>1752</v>
      </c>
      <c r="G54" s="9">
        <f>$G$44+$F$32+$F$34*0.5</f>
        <v>150340</v>
      </c>
      <c r="H54" s="10">
        <f t="shared" si="6"/>
        <v>85.810502283105023</v>
      </c>
    </row>
    <row r="55" spans="2:8" x14ac:dyDescent="0.15">
      <c r="B55" s="1"/>
      <c r="C55" t="s">
        <v>61</v>
      </c>
      <c r="D55" s="1" t="s">
        <v>65</v>
      </c>
      <c r="E55" s="11" t="s">
        <v>64</v>
      </c>
      <c r="F55" s="9">
        <f>$F$44+$E$32+$E$34*0.25</f>
        <v>1710</v>
      </c>
      <c r="G55" s="9">
        <f>$G$44+$F$32+$F$34*0.25</f>
        <v>145972</v>
      </c>
      <c r="H55" s="10">
        <f t="shared" si="6"/>
        <v>85.363742690058473</v>
      </c>
    </row>
    <row r="56" spans="2:8" x14ac:dyDescent="0.15">
      <c r="B56" s="1"/>
      <c r="C56" t="s">
        <v>61</v>
      </c>
      <c r="D56" s="1" t="s">
        <v>65</v>
      </c>
      <c r="E56" s="1" t="s">
        <v>65</v>
      </c>
      <c r="F56" s="9">
        <f>$F$44+$E$32</f>
        <v>1668</v>
      </c>
      <c r="G56" s="9">
        <f>$G$44+$F$32</f>
        <v>141604</v>
      </c>
      <c r="H56" s="10">
        <f>G56/F56</f>
        <v>84.894484412470021</v>
      </c>
    </row>
    <row r="57" spans="2:8" x14ac:dyDescent="0.15">
      <c r="B57" s="1"/>
      <c r="F57" s="9"/>
      <c r="G57" s="9"/>
      <c r="H57" s="10"/>
    </row>
    <row r="58" spans="2:8" x14ac:dyDescent="0.15">
      <c r="B58" s="1" t="s">
        <v>67</v>
      </c>
      <c r="C58" t="s">
        <v>68</v>
      </c>
      <c r="D58" s="1" t="s">
        <v>60</v>
      </c>
      <c r="E58" s="1" t="s">
        <v>60</v>
      </c>
      <c r="F58" s="9">
        <f>$F$44+SUM($E$32:$E$36)</f>
        <v>2211</v>
      </c>
      <c r="G58" s="9">
        <f>$G$46+$F$35+$F$36</f>
        <v>200816</v>
      </c>
      <c r="H58" s="10">
        <f t="shared" si="6"/>
        <v>90.825870646766163</v>
      </c>
    </row>
    <row r="59" spans="2:8" x14ac:dyDescent="0.15">
      <c r="B59" s="1"/>
      <c r="C59" s="4" t="s">
        <v>69</v>
      </c>
      <c r="D59" s="1" t="s">
        <v>60</v>
      </c>
      <c r="E59" s="11" t="s">
        <v>62</v>
      </c>
      <c r="F59" s="9">
        <f>$F$44+SUM($E$32:$E$36)-$E$34*0.25</f>
        <v>2169</v>
      </c>
      <c r="G59" s="9">
        <f>$G$46+$F$35+$F$36-$F$34*0.25</f>
        <v>196448</v>
      </c>
      <c r="H59" s="10">
        <f t="shared" si="6"/>
        <v>90.570769940064551</v>
      </c>
    </row>
    <row r="60" spans="2:8" x14ac:dyDescent="0.15">
      <c r="B60" s="1"/>
      <c r="C60" s="4" t="s">
        <v>69</v>
      </c>
      <c r="D60" s="1" t="s">
        <v>60</v>
      </c>
      <c r="E60" s="11" t="s">
        <v>63</v>
      </c>
      <c r="F60" s="9">
        <f>$F$44+SUM($E$32:$E$36)-$E$34*0.5</f>
        <v>2127</v>
      </c>
      <c r="G60" s="9">
        <f>$G$46+$F$35+$F$36-$F$34*0.5</f>
        <v>192080</v>
      </c>
      <c r="H60" s="10">
        <f t="shared" si="6"/>
        <v>90.305594734367659</v>
      </c>
    </row>
    <row r="61" spans="2:8" x14ac:dyDescent="0.15">
      <c r="B61" s="1"/>
      <c r="C61" s="4" t="s">
        <v>69</v>
      </c>
      <c r="D61" s="1" t="s">
        <v>60</v>
      </c>
      <c r="E61" s="11" t="s">
        <v>64</v>
      </c>
      <c r="F61" s="9">
        <f>$F$44+SUM($E$32:$E$36)-$E$34*0.75</f>
        <v>2085</v>
      </c>
      <c r="G61" s="9">
        <f>$G$46+$F$35+$F$36-$F$34*0.75</f>
        <v>187712</v>
      </c>
      <c r="H61" s="10">
        <f t="shared" si="6"/>
        <v>90.029736211031178</v>
      </c>
    </row>
    <row r="62" spans="2:8" x14ac:dyDescent="0.15">
      <c r="B62" s="1"/>
      <c r="C62" s="4" t="s">
        <v>69</v>
      </c>
      <c r="D62" s="1" t="s">
        <v>60</v>
      </c>
      <c r="E62" t="s">
        <v>65</v>
      </c>
      <c r="F62" s="9">
        <f>$F$44+SUM($E$32:$E$36)-$E$34</f>
        <v>2043</v>
      </c>
      <c r="G62" s="9">
        <f>$G$46+$F$35+$F$36-$F$34</f>
        <v>183344</v>
      </c>
      <c r="H62" s="10">
        <f>G62/F62</f>
        <v>89.742535487028874</v>
      </c>
    </row>
    <row r="64" spans="2:8" x14ac:dyDescent="0.15">
      <c r="B64" s="1" t="s">
        <v>70</v>
      </c>
      <c r="C64" t="s">
        <v>68</v>
      </c>
      <c r="D64" s="1" t="s">
        <v>65</v>
      </c>
      <c r="E64" s="1" t="s">
        <v>60</v>
      </c>
      <c r="F64" s="9">
        <f>$F$44+SUM($E$32:$E$36)-$E$33</f>
        <v>2031</v>
      </c>
      <c r="G64" s="9">
        <f>$G$44+SUM($F$32:$F$36)-$F$33</f>
        <v>184796</v>
      </c>
      <c r="H64" s="10">
        <f t="shared" ref="H64:H68" si="7">G64/F64</f>
        <v>90.987690792712954</v>
      </c>
    </row>
    <row r="65" spans="3:8" x14ac:dyDescent="0.15">
      <c r="C65" s="4" t="s">
        <v>69</v>
      </c>
      <c r="D65" s="1" t="s">
        <v>65</v>
      </c>
      <c r="E65" s="11" t="s">
        <v>62</v>
      </c>
      <c r="F65" s="9">
        <f>$F$44+SUM($E$32:$E$36)-$E$33-$E$34*0.25</f>
        <v>1989</v>
      </c>
      <c r="G65" s="9">
        <f>$G$44+SUM($F$32:$F$36)-$F$33-$F$34*0.25</f>
        <v>180428</v>
      </c>
      <c r="H65" s="10">
        <f t="shared" si="7"/>
        <v>90.712921065862247</v>
      </c>
    </row>
    <row r="66" spans="3:8" x14ac:dyDescent="0.15">
      <c r="C66" s="4" t="s">
        <v>69</v>
      </c>
      <c r="D66" s="1" t="s">
        <v>65</v>
      </c>
      <c r="E66" s="11" t="s">
        <v>63</v>
      </c>
      <c r="F66" s="9">
        <f>$F$44+SUM($E$32:$E$36)-$E$33-$E$34*0.5</f>
        <v>1947</v>
      </c>
      <c r="G66" s="9">
        <f>$G$44+SUM($F$32:$F$36)-$F$33-$F$34*0.5</f>
        <v>176060</v>
      </c>
      <c r="H66" s="10">
        <f t="shared" si="7"/>
        <v>90.426296866974837</v>
      </c>
    </row>
    <row r="67" spans="3:8" x14ac:dyDescent="0.15">
      <c r="C67" s="4" t="s">
        <v>69</v>
      </c>
      <c r="D67" s="1" t="s">
        <v>65</v>
      </c>
      <c r="E67" s="11" t="s">
        <v>64</v>
      </c>
      <c r="F67" s="9">
        <f>$F$44+SUM($E$32:$E$36)-$E$33-$E$34*0.75</f>
        <v>1905</v>
      </c>
      <c r="G67" s="9">
        <f>$G$44+SUM($F$32:$F$36)-$F$33-$F$34*0.75</f>
        <v>171692</v>
      </c>
      <c r="H67" s="10">
        <f t="shared" si="7"/>
        <v>90.127034120734905</v>
      </c>
    </row>
    <row r="68" spans="3:8" x14ac:dyDescent="0.15">
      <c r="C68" s="4" t="s">
        <v>69</v>
      </c>
      <c r="D68" s="1" t="s">
        <v>65</v>
      </c>
      <c r="E68" s="1" t="s">
        <v>65</v>
      </c>
      <c r="F68" s="9">
        <f>$F$44+SUM($E$32:$E$36)-$E$33-$E$34</f>
        <v>1863</v>
      </c>
      <c r="G68" s="9">
        <f>$G$44+SUM($F$32:$F$36)-$F$33-$F$34</f>
        <v>167324</v>
      </c>
      <c r="H68" s="10">
        <f t="shared" si="7"/>
        <v>89.814278046162102</v>
      </c>
    </row>
  </sheetData>
  <printOptions headings="1" gridLines="1"/>
  <pageMargins left="0.75" right="0.75" top="1" bottom="1" header="0.5" footer="0.5"/>
  <pageSetup scale="83" fitToHeight="2" orientation="landscape" blackAndWhite="1" cellComments="asDisplayed" horizontalDpi="300" verticalDpi="180" copies="0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Aircraft Design</vt:lpstr>
    </vt:vector>
  </TitlesOfParts>
  <Company>IMPACT DYNAMICS,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IMPACT DYNAMICS, INC.</dc:creator>
  <cp:lastModifiedBy>Omar Filipovic</cp:lastModifiedBy>
  <cp:lastPrinted>1998-02-17T04:27:14Z</cp:lastPrinted>
  <dcterms:created xsi:type="dcterms:W3CDTF">1996-09-05T01:41:22Z</dcterms:created>
  <dcterms:modified xsi:type="dcterms:W3CDTF">2019-06-05T21:10:16Z</dcterms:modified>
</cp:coreProperties>
</file>